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66739\Desktop\"/>
    </mc:Choice>
  </mc:AlternateContent>
  <bookViews>
    <workbookView xWindow="1440" yWindow="435" windowWidth="26460" windowHeight="17235"/>
  </bookViews>
  <sheets>
    <sheet name="2018-19 funding model v 3.1" sheetId="8" r:id="rId1"/>
    <sheet name="2019-20 funding model v 3.1" sheetId="11" r:id="rId2"/>
    <sheet name="2020-21 funding model v 3.1" sheetId="12" r:id="rId3"/>
    <sheet name="Comparative figure" sheetId="13" r:id="rId4"/>
    <sheet name="Student journeys" sheetId="2" r:id="rId5"/>
    <sheet name="About" sheetId="14" r:id="rId6"/>
    <sheet name="Lookup tables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2" l="1"/>
  <c r="D24" i="8"/>
  <c r="C6" i="8" l="1"/>
  <c r="C24" i="11"/>
  <c r="E16" i="8" l="1"/>
  <c r="E15" i="8"/>
  <c r="E14" i="8"/>
  <c r="E13" i="8"/>
  <c r="E11" i="8" l="1"/>
  <c r="E10" i="8"/>
  <c r="E9" i="8"/>
  <c r="E8" i="8"/>
  <c r="D3" i="12" l="1"/>
  <c r="D4" i="12"/>
  <c r="D5" i="12"/>
  <c r="D9" i="12"/>
  <c r="E9" i="12" s="1"/>
  <c r="D10" i="12"/>
  <c r="E10" i="12" s="1"/>
  <c r="D11" i="12"/>
  <c r="E11" i="12" s="1"/>
  <c r="D12" i="12"/>
  <c r="E12" i="12" s="1"/>
  <c r="D15" i="12"/>
  <c r="E15" i="12" s="1"/>
  <c r="D16" i="12"/>
  <c r="E16" i="12" s="1"/>
  <c r="D17" i="12"/>
  <c r="E17" i="12" s="1"/>
  <c r="D18" i="12"/>
  <c r="E18" i="12" s="1"/>
  <c r="A26" i="12"/>
  <c r="D26" i="12" s="1"/>
  <c r="C28" i="12"/>
  <c r="C26" i="11"/>
  <c r="A24" i="11"/>
  <c r="D24" i="11" s="1"/>
  <c r="D16" i="11"/>
  <c r="E16" i="11" s="1"/>
  <c r="D15" i="11"/>
  <c r="E15" i="11" s="1"/>
  <c r="D14" i="11"/>
  <c r="E14" i="11" s="1"/>
  <c r="D13" i="11"/>
  <c r="E13" i="11" s="1"/>
  <c r="D11" i="11"/>
  <c r="E11" i="11" s="1"/>
  <c r="D10" i="11"/>
  <c r="E10" i="11" s="1"/>
  <c r="D9" i="11"/>
  <c r="E9" i="11" s="1"/>
  <c r="D8" i="11"/>
  <c r="E8" i="11" s="1"/>
  <c r="D5" i="11"/>
  <c r="D4" i="11"/>
  <c r="D3" i="11"/>
  <c r="C6" i="11" l="1"/>
  <c r="D21" i="12"/>
  <c r="C6" i="12"/>
  <c r="E24" i="11"/>
  <c r="E26" i="12"/>
  <c r="D22" i="12"/>
  <c r="F18" i="12"/>
  <c r="F17" i="12"/>
  <c r="F16" i="12"/>
  <c r="F15" i="12"/>
  <c r="F12" i="12"/>
  <c r="F11" i="12"/>
  <c r="F9" i="12"/>
  <c r="E5" i="12"/>
  <c r="E4" i="12"/>
  <c r="E3" i="12"/>
  <c r="F16" i="11"/>
  <c r="F15" i="11"/>
  <c r="F14" i="11"/>
  <c r="F13" i="11"/>
  <c r="F11" i="11"/>
  <c r="F10" i="11"/>
  <c r="F8" i="11"/>
  <c r="E5" i="11"/>
  <c r="E4" i="11"/>
  <c r="E3" i="11"/>
  <c r="E24" i="8"/>
  <c r="F16" i="8"/>
  <c r="E23" i="3"/>
  <c r="E24" i="3" s="1"/>
  <c r="D20" i="8"/>
  <c r="D19" i="8"/>
  <c r="F11" i="8"/>
  <c r="F15" i="8"/>
  <c r="F10" i="8"/>
  <c r="F8" i="8"/>
  <c r="F14" i="8"/>
  <c r="F13" i="8"/>
  <c r="E5" i="8"/>
  <c r="E4" i="8"/>
  <c r="E3" i="8"/>
  <c r="E6" i="12" l="1"/>
  <c r="C19" i="12"/>
  <c r="E21" i="12" s="1"/>
  <c r="E6" i="11"/>
  <c r="C17" i="8"/>
  <c r="E19" i="8" s="1"/>
  <c r="C17" i="11"/>
  <c r="E20" i="11" s="1"/>
  <c r="E6" i="8"/>
  <c r="E22" i="12" l="1"/>
  <c r="E23" i="12" s="1"/>
  <c r="E27" i="12" s="1"/>
  <c r="E28" i="12" s="1"/>
  <c r="B4" i="13" s="1"/>
  <c r="E20" i="8"/>
  <c r="E21" i="8" s="1"/>
  <c r="E25" i="8" s="1"/>
  <c r="E26" i="8" s="1"/>
  <c r="B2" i="13" s="1"/>
  <c r="C2" i="13" s="1"/>
  <c r="E19" i="11"/>
  <c r="E21" i="11" s="1"/>
  <c r="E25" i="11" s="1"/>
  <c r="E26" i="11" s="1"/>
  <c r="B3" i="13" s="1"/>
  <c r="C4" i="13" l="1"/>
  <c r="C3" i="13"/>
</calcChain>
</file>

<file path=xl/sharedStrings.xml><?xml version="1.0" encoding="utf-8"?>
<sst xmlns="http://schemas.openxmlformats.org/spreadsheetml/2006/main" count="183" uniqueCount="77">
  <si>
    <t>                   Completes Transfer Level Math/English in First Year</t>
  </si>
  <si>
    <t>Possible points</t>
  </si>
  <si>
    <t>Funding</t>
  </si>
  <si>
    <t>Achieved? (Y/N)</t>
  </si>
  <si>
    <t>Yes</t>
  </si>
  <si>
    <t>No</t>
  </si>
  <si>
    <t>modifier</t>
  </si>
  <si>
    <t xml:space="preserve">Subtotal for Success </t>
  </si>
  <si>
    <t xml:space="preserve">                   Receives Pell Grant</t>
  </si>
  <si>
    <t xml:space="preserve">                   Receives CA Promise Grant (BOGW) </t>
  </si>
  <si>
    <t xml:space="preserve">Subtotal for Supplemental </t>
  </si>
  <si>
    <t>Grand Total</t>
  </si>
  <si>
    <t>Funding per year</t>
  </si>
  <si>
    <t>Yrs. to completion</t>
  </si>
  <si>
    <t xml:space="preserve">                   Completes 9 CTE units</t>
  </si>
  <si>
    <t>                   Transfers to a four- year university</t>
  </si>
  <si>
    <t>Reg. Credit</t>
  </si>
  <si>
    <t>CDCP</t>
  </si>
  <si>
    <t xml:space="preserve">                    FTES (ea. 30 units = 1 FTES)</t>
  </si>
  <si>
    <t>Special Admit</t>
  </si>
  <si>
    <t xml:space="preserve">                   Attains living wage*</t>
  </si>
  <si>
    <t>* Living wage is deteremined one year after exit from the CCC by matching against the EDD unemployment insurance database.</t>
  </si>
  <si>
    <t>No. Attained</t>
  </si>
  <si>
    <t>FTES Type</t>
  </si>
  <si>
    <t>No. FTES</t>
  </si>
  <si>
    <t xml:space="preserve">Incarcerated </t>
  </si>
  <si>
    <t>Success: Certificates &amp; Degrees</t>
  </si>
  <si>
    <t>Success: Momentum, Transfer &amp; Wages</t>
  </si>
  <si>
    <t>Funding Year</t>
  </si>
  <si>
    <t>2018-19</t>
  </si>
  <si>
    <t>2019-20</t>
  </si>
  <si>
    <t>2020-21</t>
  </si>
  <si>
    <t>Base FTES</t>
  </si>
  <si>
    <t>Supplemental</t>
  </si>
  <si>
    <t>Success</t>
  </si>
  <si>
    <t>Enhanced FTES</t>
  </si>
  <si>
    <t>Sum of success points</t>
  </si>
  <si>
    <t>                   Certificate (e.g., CSU GE Cert.)</t>
  </si>
  <si>
    <t>                   Traditional Associate Degree</t>
  </si>
  <si>
    <t xml:space="preserve">                   ADT </t>
  </si>
  <si>
    <t xml:space="preserve">                   CCC Bachelor of Science</t>
  </si>
  <si>
    <t>how a specific student profile changes over time.</t>
  </si>
  <si>
    <t>for 2019-20 and 2020-21 (don't make changes on those tabs directly or the links among the tabs will be broken). This allows you to track</t>
  </si>
  <si>
    <t xml:space="preserve">Promise, Pell Grant, and/or AB 540 status (cells E3-E5). Note that California Promise and Pell Grant status also act as multipliers for any </t>
  </si>
  <si>
    <r>
      <rPr>
        <b/>
        <sz val="11"/>
        <color theme="1"/>
        <rFont val="Calibri"/>
        <family val="2"/>
        <scheme val="minor"/>
      </rPr>
      <t xml:space="preserve">Directions: </t>
    </r>
    <r>
      <rPr>
        <sz val="11"/>
        <color theme="1"/>
        <rFont val="Calibri"/>
        <family val="2"/>
        <scheme val="minor"/>
      </rPr>
      <t xml:space="preserve">Make your selections on this tab, which shows the results for SCFF for 2018-19, and the same choices will be reflected in the tabs </t>
    </r>
  </si>
  <si>
    <t>tabs for 2019-20 and 2020-21 (don't make changes on these tabs directly or the links among the tabs will be broken). This allows you to track</t>
  </si>
  <si>
    <r>
      <rPr>
        <b/>
        <sz val="11"/>
        <color theme="1"/>
        <rFont val="Calibri"/>
        <family val="2"/>
        <scheme val="minor"/>
      </rPr>
      <t xml:space="preserve">Directions: </t>
    </r>
    <r>
      <rPr>
        <sz val="11"/>
        <color theme="1"/>
        <rFont val="Calibri"/>
        <family val="2"/>
        <scheme val="minor"/>
      </rPr>
      <t>Make your selections on the first tab, which shows the results for SCFF for 2018-19, and the same choices will be reflected in the</t>
    </r>
  </si>
  <si>
    <t>Funding per year for selected student profile</t>
  </si>
  <si>
    <t>Funding year</t>
  </si>
  <si>
    <t>Delta relative to 2018-19</t>
  </si>
  <si>
    <t>Recent  High School Student Jessica:</t>
  </si>
  <si>
    <t>Inmate Scholar Joe:</t>
  </si>
  <si>
    <t>Receives a CA Promise Grant, completes transfer-level math and English in the first year, completes a certificate, completes an ADT, gets released and transfers to a four-year school, generates 2 FTES (at incarcerated student rate) and does this in four years.</t>
  </si>
  <si>
    <t>Recent  High School Student Jesse:</t>
  </si>
  <si>
    <t>Possible student journey scenarios to simulate</t>
  </si>
  <si>
    <t>Skills builder Jane:</t>
  </si>
  <si>
    <t>Receives neither the CA Promise Grant nor the Pell Grant, completes completes nine CTE units, attains a living wage, and generates .33 FTES (at regular rate) in one year. Note: using a value of 1 FTES will allow for a better per year comparison with other student journeys, just realize it is the equivalent of three skills builder students.</t>
  </si>
  <si>
    <t>BS student Gary:</t>
  </si>
  <si>
    <t>Receives a CA Promise Grant and Pell Grant, completes transfer-level math and English in the first year, completes nine CTE certificates in his second year, third year and fourth year, completes two certificates, an Associate degree, and a BS (at the CCC), generates 4 FTES (at regular rate) and does this in four years.</t>
  </si>
  <si>
    <t>craig.hayward@bakersfieldcollege.edu</t>
  </si>
  <si>
    <t>Developed by Craig Hayward</t>
  </si>
  <si>
    <t>FTES Rate</t>
  </si>
  <si>
    <t>Attained?</t>
  </si>
  <si>
    <t>how a specific student profile changes over time. Only edit values in the cells that are shaded light blue.</t>
  </si>
  <si>
    <t>Equity</t>
  </si>
  <si>
    <r>
      <t>Funding Formula Factors</t>
    </r>
    <r>
      <rPr>
        <sz val="11"/>
        <color theme="1"/>
        <rFont val="Calibri"/>
        <family val="2"/>
        <scheme val="minor"/>
      </rPr>
      <t xml:space="preserve"> (Supplemental, Success, Equity, FTES)</t>
    </r>
  </si>
  <si>
    <t>Equity: Success points * Promise/Pell modifiers</t>
  </si>
  <si>
    <t>FTES</t>
  </si>
  <si>
    <t>Received? (Y/N)</t>
  </si>
  <si>
    <t xml:space="preserve">                   AB 540 student status</t>
  </si>
  <si>
    <t>Receives neither the CA Promise Grant nor the Pell Grant, completes transfer-level math and English in the first year, completes a certificate, completes an ADT, transfers to a four-year school, generates 2 FTES (at regular rate) and does this in two years.</t>
  </si>
  <si>
    <t>Receives a CA Promise Grant and Pell Grant, completes transfer-level math and English in the first year, completes a certificate, completes an ADT, transfers to a four-year school, generates 2 FTES (at regular rate) and does this in three years.</t>
  </si>
  <si>
    <t>BC Student Journey &amp; Student-Centered Funding Formula Simulator version 3.11</t>
  </si>
  <si>
    <t>success outcomes attained or achieved. These multiplier effects automatically show up on rows 19 &amp; 20 -- do not edit these rows manually.</t>
  </si>
  <si>
    <t>Additionally, you may specify the number of FTES earned (cell C24) and the number of years needed to achieve the indicated outcomes.</t>
  </si>
  <si>
    <t>Options that can be changed inlcuded the type of FTES being earned (cell A24), the number of certificates or awards attained (cells D8-D11),</t>
  </si>
  <si>
    <t>and whether a student has attained certain momentum points or outcomes (cells D13-D16). Supplemental points are awarded for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</si>
</sst>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4" fontId="6" fillId="0" borderId="0" xfId="0" applyNumberFormat="1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0" xfId="0" applyBorder="1" applyAlignment="1">
      <alignment horizontal="right"/>
    </xf>
    <xf numFmtId="44" fontId="0" fillId="0" borderId="7" xfId="0" applyNumberForma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4" fontId="6" fillId="0" borderId="7" xfId="0" applyNumberFormat="1" applyFont="1" applyBorder="1"/>
    <xf numFmtId="0" fontId="0" fillId="0" borderId="8" xfId="0" applyBorder="1"/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44" fontId="5" fillId="0" borderId="10" xfId="0" applyNumberFormat="1" applyFont="1" applyBorder="1"/>
    <xf numFmtId="0" fontId="7" fillId="0" borderId="3" xfId="0" applyFont="1" applyBorder="1" applyAlignment="1">
      <alignment horizontal="center"/>
    </xf>
    <xf numFmtId="0" fontId="0" fillId="0" borderId="0" xfId="0" applyFill="1" applyBorder="1"/>
    <xf numFmtId="0" fontId="7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0" fillId="0" borderId="0" xfId="0" applyNumberFormat="1"/>
    <xf numFmtId="0" fontId="9" fillId="0" borderId="0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44" fontId="5" fillId="0" borderId="10" xfId="1" applyFont="1" applyBorder="1"/>
    <xf numFmtId="4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0" xfId="0" applyFont="1"/>
    <xf numFmtId="0" fontId="14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'Comparative figure'!$B$1</c:f>
              <c:strCache>
                <c:ptCount val="1"/>
                <c:pt idx="0">
                  <c:v>Funding per year for selected student profile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'Comparative figure'!$A$2:$A$4</c:f>
              <c:strCache>
                <c:ptCount val="3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</c:strCache>
            </c:strRef>
          </c:cat>
          <c:val>
            <c:numRef>
              <c:f>'Comparative figure'!$B$2:$B$4</c:f>
              <c:numCache>
                <c:formatCode>_("$"* #,##0.00_);_("$"* \(#,##0.00\);_("$"* "-"??_);_(@_)</c:formatCode>
                <c:ptCount val="3"/>
                <c:pt idx="0">
                  <c:v>5487</c:v>
                </c:pt>
                <c:pt idx="1">
                  <c:v>6695</c:v>
                </c:pt>
                <c:pt idx="2">
                  <c:v>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D-49B0-AF28-653841233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847448"/>
        <c:axId val="641847776"/>
      </c:barChart>
      <c:catAx>
        <c:axId val="64184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847776"/>
        <c:crosses val="autoZero"/>
        <c:auto val="1"/>
        <c:lblAlgn val="ctr"/>
        <c:lblOffset val="100"/>
        <c:noMultiLvlLbl val="0"/>
      </c:catAx>
      <c:valAx>
        <c:axId val="641847776"/>
        <c:scaling>
          <c:orientation val="minMax"/>
        </c:scaling>
        <c:delete val="0"/>
        <c:axPos val="l"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84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</xdr:colOff>
      <xdr:row>38</xdr:row>
      <xdr:rowOff>30480</xdr:rowOff>
    </xdr:from>
    <xdr:to>
      <xdr:col>1</xdr:col>
      <xdr:colOff>546736</xdr:colOff>
      <xdr:row>40</xdr:row>
      <xdr:rowOff>175895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5D33E6-3E74-4DDB-9987-E077A2A72A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341870"/>
          <a:ext cx="1518285" cy="511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55244</xdr:rowOff>
    </xdr:from>
    <xdr:to>
      <xdr:col>4</xdr:col>
      <xdr:colOff>548640</xdr:colOff>
      <xdr:row>25</xdr:row>
      <xdr:rowOff>129539</xdr:rowOff>
    </xdr:to>
    <xdr:graphicFrame macro="">
      <xdr:nvGraphicFramePr>
        <xdr:cNvPr id="3" name="Chart 2" descr="Funding per year for selected student profile bar chart">
          <a:extLst>
            <a:ext uri="{FF2B5EF4-FFF2-40B4-BE49-F238E27FC236}">
              <a16:creationId xmlns:a16="http://schemas.microsoft.com/office/drawing/2014/main" id="{DF55A1B5-DA48-44E0-9EBD-CF3D9D49F0D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708660</xdr:colOff>
      <xdr:row>4</xdr:row>
      <xdr:rowOff>34290</xdr:rowOff>
    </xdr:from>
    <xdr:to>
      <xdr:col>1</xdr:col>
      <xdr:colOff>2226945</xdr:colOff>
      <xdr:row>6</xdr:row>
      <xdr:rowOff>179705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182ADE-96E6-433E-932C-54D9625FBBDC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90" y="765810"/>
          <a:ext cx="1518285" cy="5111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4827270</xdr:colOff>
      <xdr:row>0</xdr:row>
      <xdr:rowOff>22860</xdr:rowOff>
    </xdr:from>
    <xdr:to>
      <xdr:col>0</xdr:col>
      <xdr:colOff>6345555</xdr:colOff>
      <xdr:row>2</xdr:row>
      <xdr:rowOff>118745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B20C02-A777-4333-B57C-A646BB86BE08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2860"/>
          <a:ext cx="1518285" cy="511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3</xdr:row>
      <xdr:rowOff>80010</xdr:rowOff>
    </xdr:from>
    <xdr:to>
      <xdr:col>3</xdr:col>
      <xdr:colOff>219075</xdr:colOff>
      <xdr:row>6</xdr:row>
      <xdr:rowOff>42545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4BFFE7-97CA-4285-A265-58167D75F5EA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51510"/>
          <a:ext cx="1584325" cy="5340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craig.hayward@bakersfieldcolleg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43"/>
  <sheetViews>
    <sheetView tabSelected="1" zoomScale="110" zoomScaleNormal="110" workbookViewId="0">
      <selection activeCell="L26" sqref="L26"/>
    </sheetView>
  </sheetViews>
  <sheetFormatPr defaultColWidth="8.85546875" defaultRowHeight="15" x14ac:dyDescent="0.25"/>
  <cols>
    <col min="1" max="1" width="13.42578125" customWidth="1"/>
    <col min="2" max="2" width="50.28515625" bestFit="1" customWidth="1"/>
    <col min="3" max="3" width="13" bestFit="1" customWidth="1"/>
    <col min="4" max="4" width="15.140625" bestFit="1" customWidth="1"/>
    <col min="5" max="5" width="17.28515625" customWidth="1"/>
  </cols>
  <sheetData>
    <row r="1" spans="1:6" x14ac:dyDescent="0.25">
      <c r="A1" s="37" t="s">
        <v>28</v>
      </c>
      <c r="B1" s="15" t="s">
        <v>65</v>
      </c>
      <c r="C1" s="16"/>
      <c r="D1" s="39"/>
      <c r="E1" s="17"/>
    </row>
    <row r="2" spans="1:6" x14ac:dyDescent="0.25">
      <c r="A2" s="18" t="s">
        <v>29</v>
      </c>
      <c r="B2" s="25" t="s">
        <v>33</v>
      </c>
      <c r="C2" s="40" t="s">
        <v>1</v>
      </c>
      <c r="D2" s="42" t="s">
        <v>68</v>
      </c>
      <c r="E2" s="43" t="s">
        <v>2</v>
      </c>
    </row>
    <row r="3" spans="1:6" x14ac:dyDescent="0.25">
      <c r="A3" s="29"/>
      <c r="B3" s="19" t="s">
        <v>9</v>
      </c>
      <c r="C3" s="20">
        <v>1</v>
      </c>
      <c r="D3" s="60" t="s">
        <v>5</v>
      </c>
      <c r="E3" s="22">
        <f>IF(D3="Yes",919,0)</f>
        <v>0</v>
      </c>
    </row>
    <row r="4" spans="1:6" x14ac:dyDescent="0.25">
      <c r="A4" s="18"/>
      <c r="B4" s="19" t="s">
        <v>8</v>
      </c>
      <c r="C4" s="20">
        <v>1</v>
      </c>
      <c r="D4" s="60" t="s">
        <v>5</v>
      </c>
      <c r="E4" s="22">
        <f>IF(D4="Yes",919,0)</f>
        <v>0</v>
      </c>
    </row>
    <row r="5" spans="1:6" x14ac:dyDescent="0.25">
      <c r="A5" s="18"/>
      <c r="B5" s="19" t="s">
        <v>69</v>
      </c>
      <c r="C5" s="35">
        <v>1</v>
      </c>
      <c r="D5" s="60" t="s">
        <v>5</v>
      </c>
      <c r="E5" s="22">
        <f>IF(D5="Yes",919,0)</f>
        <v>0</v>
      </c>
    </row>
    <row r="6" spans="1:6" x14ac:dyDescent="0.25">
      <c r="A6" s="18"/>
      <c r="B6" s="23" t="s">
        <v>10</v>
      </c>
      <c r="C6" s="21">
        <f>COUNTIF(D3:D5,"Yes")</f>
        <v>0</v>
      </c>
      <c r="D6" s="21"/>
      <c r="E6" s="24">
        <f>SUM(E3:E5)</f>
        <v>0</v>
      </c>
    </row>
    <row r="7" spans="1:6" x14ac:dyDescent="0.25">
      <c r="A7" s="18"/>
      <c r="B7" s="25" t="s">
        <v>26</v>
      </c>
      <c r="C7" s="40" t="s">
        <v>1</v>
      </c>
      <c r="D7" s="42" t="s">
        <v>22</v>
      </c>
      <c r="E7" s="43" t="s">
        <v>2</v>
      </c>
    </row>
    <row r="8" spans="1:6" x14ac:dyDescent="0.25">
      <c r="A8" s="18"/>
      <c r="B8" s="19" t="s">
        <v>37</v>
      </c>
      <c r="C8" s="21">
        <v>2</v>
      </c>
      <c r="D8" s="61">
        <v>1</v>
      </c>
      <c r="E8" s="22">
        <f>D8*C8*440</f>
        <v>880</v>
      </c>
      <c r="F8" s="14">
        <f>IF(D8="Yes",C8,0)</f>
        <v>0</v>
      </c>
    </row>
    <row r="9" spans="1:6" x14ac:dyDescent="0.25">
      <c r="A9" s="18"/>
      <c r="B9" s="19" t="s">
        <v>38</v>
      </c>
      <c r="C9" s="21">
        <v>3</v>
      </c>
      <c r="D9" s="61">
        <v>0</v>
      </c>
      <c r="E9" s="22">
        <f>D9*C9*440</f>
        <v>0</v>
      </c>
      <c r="F9" s="14"/>
    </row>
    <row r="10" spans="1:6" x14ac:dyDescent="0.25">
      <c r="A10" s="18"/>
      <c r="B10" s="19" t="s">
        <v>39</v>
      </c>
      <c r="C10" s="21">
        <v>4</v>
      </c>
      <c r="D10" s="61">
        <v>1</v>
      </c>
      <c r="E10" s="22">
        <f>D10*C10*440</f>
        <v>1760</v>
      </c>
      <c r="F10" s="14">
        <f>IF(D10="Yes",C10,0)</f>
        <v>0</v>
      </c>
    </row>
    <row r="11" spans="1:6" x14ac:dyDescent="0.25">
      <c r="A11" s="18"/>
      <c r="B11" s="19" t="s">
        <v>40</v>
      </c>
      <c r="C11" s="21">
        <v>3</v>
      </c>
      <c r="D11" s="61">
        <v>0</v>
      </c>
      <c r="E11" s="22">
        <f>D11*C11*440</f>
        <v>0</v>
      </c>
      <c r="F11" s="14">
        <f>IF(D11="Yes",C11,0)</f>
        <v>0</v>
      </c>
    </row>
    <row r="12" spans="1:6" x14ac:dyDescent="0.25">
      <c r="A12" s="18"/>
      <c r="B12" s="25" t="s">
        <v>27</v>
      </c>
      <c r="C12" s="25"/>
      <c r="D12" s="40" t="s">
        <v>62</v>
      </c>
      <c r="E12" s="26"/>
    </row>
    <row r="13" spans="1:6" x14ac:dyDescent="0.25">
      <c r="A13" s="18"/>
      <c r="B13" s="19" t="s">
        <v>0</v>
      </c>
      <c r="C13" s="21">
        <v>2</v>
      </c>
      <c r="D13" s="60" t="s">
        <v>4</v>
      </c>
      <c r="E13" s="22">
        <f>IF(D13="Yes",C13*440,0)</f>
        <v>880</v>
      </c>
      <c r="F13" s="14">
        <f>IF(D13="Yes",C13,0)</f>
        <v>2</v>
      </c>
    </row>
    <row r="14" spans="1:6" x14ac:dyDescent="0.25">
      <c r="A14" s="18"/>
      <c r="B14" s="19" t="s">
        <v>14</v>
      </c>
      <c r="C14" s="21">
        <v>1</v>
      </c>
      <c r="D14" s="60" t="s">
        <v>5</v>
      </c>
      <c r="E14" s="22">
        <f>IF(D14="Yes",C14*440,0)</f>
        <v>0</v>
      </c>
      <c r="F14" s="14">
        <f>IF(D14="Yes",C14,0)</f>
        <v>0</v>
      </c>
    </row>
    <row r="15" spans="1:6" x14ac:dyDescent="0.25">
      <c r="A15" s="18"/>
      <c r="B15" s="19" t="s">
        <v>15</v>
      </c>
      <c r="C15" s="21">
        <v>1.5</v>
      </c>
      <c r="D15" s="60" t="s">
        <v>5</v>
      </c>
      <c r="E15" s="22">
        <f>IF(D15="Yes",C15*440,0)</f>
        <v>0</v>
      </c>
      <c r="F15" s="14">
        <f>IF(D15="Yes",C15,0)</f>
        <v>0</v>
      </c>
    </row>
    <row r="16" spans="1:6" x14ac:dyDescent="0.25">
      <c r="A16" s="18"/>
      <c r="B16" s="38" t="s">
        <v>20</v>
      </c>
      <c r="C16" s="64">
        <v>1</v>
      </c>
      <c r="D16" s="60" t="s">
        <v>5</v>
      </c>
      <c r="E16" s="22">
        <f>IF(D16="Yes",C16*440,0)</f>
        <v>0</v>
      </c>
      <c r="F16" s="14">
        <f>IF(D16="Yes",C16,0)</f>
        <v>0</v>
      </c>
    </row>
    <row r="17" spans="1:6" x14ac:dyDescent="0.25">
      <c r="A17" s="18"/>
      <c r="B17" s="63" t="s">
        <v>36</v>
      </c>
      <c r="C17" s="45">
        <f>SUM(F13:F16)+(D11*C11)+(D10*C10)+(D9*C9)+(D8*C8)</f>
        <v>8</v>
      </c>
      <c r="D17" s="21"/>
      <c r="E17" s="22"/>
    </row>
    <row r="18" spans="1:6" x14ac:dyDescent="0.25">
      <c r="A18" s="18"/>
      <c r="B18" s="62" t="s">
        <v>66</v>
      </c>
      <c r="C18" s="45"/>
      <c r="D18" s="21"/>
      <c r="E18" s="22"/>
    </row>
    <row r="19" spans="1:6" x14ac:dyDescent="0.25">
      <c r="A19" s="18"/>
      <c r="B19" s="19" t="s">
        <v>9</v>
      </c>
      <c r="C19" s="28" t="s">
        <v>6</v>
      </c>
      <c r="D19" s="12" t="str">
        <f>D3</f>
        <v>No</v>
      </c>
      <c r="E19" s="22">
        <f>IF(D19="Yes",C17*111,0)</f>
        <v>0</v>
      </c>
    </row>
    <row r="20" spans="1:6" x14ac:dyDescent="0.25">
      <c r="A20" s="18"/>
      <c r="B20" s="19" t="s">
        <v>8</v>
      </c>
      <c r="C20" s="28" t="s">
        <v>6</v>
      </c>
      <c r="D20" s="13" t="str">
        <f>D4</f>
        <v>No</v>
      </c>
      <c r="E20" s="22">
        <f>IF(D20="Yes",C17*1.5*111,0)</f>
        <v>0</v>
      </c>
    </row>
    <row r="21" spans="1:6" x14ac:dyDescent="0.25">
      <c r="A21" s="18"/>
      <c r="B21" s="23" t="s">
        <v>7</v>
      </c>
      <c r="C21" s="21"/>
      <c r="D21" s="21"/>
      <c r="E21" s="24">
        <f>SUM(E8:E20)</f>
        <v>3520</v>
      </c>
    </row>
    <row r="22" spans="1:6" ht="15.75" x14ac:dyDescent="0.25">
      <c r="A22" s="18"/>
      <c r="B22" s="65" t="s">
        <v>67</v>
      </c>
      <c r="C22" s="21"/>
      <c r="D22" s="21"/>
      <c r="E22" s="24"/>
    </row>
    <row r="23" spans="1:6" x14ac:dyDescent="0.25">
      <c r="A23" s="41" t="s">
        <v>23</v>
      </c>
      <c r="B23" s="23"/>
      <c r="C23" s="42" t="s">
        <v>24</v>
      </c>
      <c r="D23" s="42" t="s">
        <v>61</v>
      </c>
      <c r="E23" s="24"/>
    </row>
    <row r="24" spans="1:6" x14ac:dyDescent="0.25">
      <c r="A24" s="59" t="s">
        <v>16</v>
      </c>
      <c r="B24" s="19" t="s">
        <v>18</v>
      </c>
      <c r="C24" s="60">
        <v>2</v>
      </c>
      <c r="D24" s="21">
        <f>IF(A24="Reg. Credit",3727,5457)</f>
        <v>3727</v>
      </c>
      <c r="E24" s="22">
        <f>D24*C24</f>
        <v>7454</v>
      </c>
    </row>
    <row r="25" spans="1:6" ht="29.1" customHeight="1" x14ac:dyDescent="0.25">
      <c r="A25" s="29"/>
      <c r="B25" s="30" t="s">
        <v>11</v>
      </c>
      <c r="C25" s="31"/>
      <c r="D25" s="31"/>
      <c r="E25" s="32">
        <f>E6+E21+E24</f>
        <v>10974</v>
      </c>
    </row>
    <row r="26" spans="1:6" ht="23.25" x14ac:dyDescent="0.35">
      <c r="A26" s="33"/>
      <c r="B26" s="34" t="s">
        <v>13</v>
      </c>
      <c r="C26" s="58">
        <v>2</v>
      </c>
      <c r="D26" s="46" t="s">
        <v>12</v>
      </c>
      <c r="E26" s="36">
        <f>E25/C26</f>
        <v>5487</v>
      </c>
      <c r="F26" s="7"/>
    </row>
    <row r="27" spans="1:6" x14ac:dyDescent="0.25">
      <c r="A27" t="s">
        <v>21</v>
      </c>
    </row>
    <row r="28" spans="1:6" ht="8.4499999999999993" customHeight="1" x14ac:dyDescent="0.25">
      <c r="B28" s="1"/>
      <c r="C28" s="1"/>
      <c r="D28" s="1"/>
      <c r="E28" s="1"/>
    </row>
    <row r="29" spans="1:6" x14ac:dyDescent="0.25">
      <c r="A29" t="s">
        <v>44</v>
      </c>
      <c r="C29" s="2"/>
      <c r="D29" s="2"/>
      <c r="E29" s="2"/>
    </row>
    <row r="30" spans="1:6" x14ac:dyDescent="0.25">
      <c r="A30" t="s">
        <v>42</v>
      </c>
      <c r="C30" s="3"/>
      <c r="D30" s="2"/>
      <c r="E30" s="2"/>
    </row>
    <row r="31" spans="1:6" x14ac:dyDescent="0.25">
      <c r="A31" t="s">
        <v>63</v>
      </c>
      <c r="C31" s="3"/>
      <c r="D31" s="2"/>
      <c r="E31" s="2"/>
    </row>
    <row r="32" spans="1:6" ht="6.95" customHeight="1" x14ac:dyDescent="0.25">
      <c r="C32" s="2"/>
      <c r="D32" s="2"/>
      <c r="E32" s="2"/>
    </row>
    <row r="33" spans="1:5" x14ac:dyDescent="0.25">
      <c r="A33" t="s">
        <v>75</v>
      </c>
      <c r="C33" s="2"/>
      <c r="D33" s="2"/>
      <c r="E33" s="2"/>
    </row>
    <row r="34" spans="1:5" x14ac:dyDescent="0.25">
      <c r="A34" t="s">
        <v>76</v>
      </c>
      <c r="C34" s="2"/>
      <c r="D34" s="2"/>
      <c r="E34" s="2"/>
    </row>
    <row r="35" spans="1:5" x14ac:dyDescent="0.25">
      <c r="A35" t="s">
        <v>43</v>
      </c>
      <c r="C35" s="2"/>
      <c r="D35" s="2"/>
      <c r="E35" s="2"/>
    </row>
    <row r="36" spans="1:5" x14ac:dyDescent="0.25">
      <c r="A36" t="s">
        <v>73</v>
      </c>
      <c r="C36" s="2"/>
      <c r="D36" s="2"/>
      <c r="E36" s="2"/>
    </row>
    <row r="37" spans="1:5" x14ac:dyDescent="0.25">
      <c r="A37" t="s">
        <v>74</v>
      </c>
      <c r="C37" s="2"/>
      <c r="D37" s="2"/>
      <c r="E37" s="2"/>
    </row>
    <row r="42" spans="1:5" x14ac:dyDescent="0.25">
      <c r="A42" s="56"/>
    </row>
    <row r="43" spans="1:5" x14ac:dyDescent="0.25">
      <c r="A43" s="55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'Lookup tables'!$A$1:$A$2</xm:f>
          </x14:formula1>
          <xm:sqref>D29:D36 D3:D5 D13:D20</xm:sqref>
        </x14:dataValidation>
        <x14:dataValidation type="list" allowBlank="1" showInputMessage="1" showErrorMessage="1">
          <x14:formula1>
            <xm:f>'Lookup tables'!$A$16:$A$19</xm:f>
          </x14:formula1>
          <xm:sqref>A24</xm:sqref>
        </x14:dataValidation>
        <x14:dataValidation type="list" allowBlank="1" showInputMessage="1" showErrorMessage="1">
          <x14:formula1>
            <xm:f>'Lookup tables'!$A$4:$A$13</xm:f>
          </x14:formula1>
          <xm:sqref>D8:D11</xm:sqref>
        </x14:dataValidation>
        <x14:dataValidation type="list" allowBlank="1" showInputMessage="1" showErrorMessage="1">
          <x14:formula1>
            <xm:f>'Lookup tables'!$A$22:$A$24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F38"/>
  <sheetViews>
    <sheetView topLeftCell="A19" zoomScale="173" zoomScaleNormal="110" workbookViewId="0">
      <selection activeCell="A25" sqref="A25:XFD25"/>
    </sheetView>
  </sheetViews>
  <sheetFormatPr defaultColWidth="8.85546875" defaultRowHeight="15" x14ac:dyDescent="0.25"/>
  <cols>
    <col min="1" max="1" width="13.42578125" customWidth="1"/>
    <col min="2" max="2" width="50.28515625" bestFit="1" customWidth="1"/>
    <col min="3" max="3" width="13" bestFit="1" customWidth="1"/>
    <col min="4" max="4" width="15.140625" bestFit="1" customWidth="1"/>
    <col min="5" max="5" width="17.140625" bestFit="1" customWidth="1"/>
  </cols>
  <sheetData>
    <row r="1" spans="1:6" x14ac:dyDescent="0.25">
      <c r="A1" s="37" t="s">
        <v>28</v>
      </c>
      <c r="B1" s="15" t="s">
        <v>65</v>
      </c>
      <c r="C1" s="16"/>
      <c r="D1" s="39"/>
      <c r="E1" s="17"/>
    </row>
    <row r="2" spans="1:6" x14ac:dyDescent="0.25">
      <c r="A2" s="18" t="s">
        <v>30</v>
      </c>
      <c r="B2" s="25" t="s">
        <v>33</v>
      </c>
      <c r="C2" s="40" t="s">
        <v>1</v>
      </c>
      <c r="D2" s="42" t="s">
        <v>68</v>
      </c>
      <c r="E2" s="43" t="s">
        <v>2</v>
      </c>
    </row>
    <row r="3" spans="1:6" x14ac:dyDescent="0.25">
      <c r="A3" s="29"/>
      <c r="B3" s="19" t="s">
        <v>9</v>
      </c>
      <c r="C3" s="20">
        <v>1</v>
      </c>
      <c r="D3" s="21" t="str">
        <f>'2018-19 funding model v 3.1'!D3</f>
        <v>No</v>
      </c>
      <c r="E3" s="22">
        <f>IF(D3="Yes",919,0)</f>
        <v>0</v>
      </c>
    </row>
    <row r="4" spans="1:6" x14ac:dyDescent="0.25">
      <c r="A4" s="18"/>
      <c r="B4" s="19" t="s">
        <v>8</v>
      </c>
      <c r="C4" s="20">
        <v>1</v>
      </c>
      <c r="D4" s="21" t="str">
        <f>'2018-19 funding model v 3.1'!D4</f>
        <v>No</v>
      </c>
      <c r="E4" s="22">
        <f>IF(D4="Yes",919,0)</f>
        <v>0</v>
      </c>
    </row>
    <row r="5" spans="1:6" x14ac:dyDescent="0.25">
      <c r="A5" s="18"/>
      <c r="B5" s="19" t="s">
        <v>69</v>
      </c>
      <c r="C5" s="35">
        <v>1</v>
      </c>
      <c r="D5" s="21" t="str">
        <f>'2018-19 funding model v 3.1'!D5</f>
        <v>No</v>
      </c>
      <c r="E5" s="22">
        <f>IF(D5="Yes",919,0)</f>
        <v>0</v>
      </c>
    </row>
    <row r="6" spans="1:6" x14ac:dyDescent="0.25">
      <c r="A6" s="18"/>
      <c r="B6" s="23" t="s">
        <v>10</v>
      </c>
      <c r="C6" s="21">
        <f>COUNTIF(D3:D5,"Yes")</f>
        <v>0</v>
      </c>
      <c r="D6" s="21"/>
      <c r="E6" s="24">
        <f>SUM(E3:E5)</f>
        <v>0</v>
      </c>
    </row>
    <row r="7" spans="1:6" x14ac:dyDescent="0.25">
      <c r="A7" s="18"/>
      <c r="B7" s="25" t="s">
        <v>26</v>
      </c>
      <c r="C7" s="40" t="s">
        <v>1</v>
      </c>
      <c r="D7" s="42" t="s">
        <v>22</v>
      </c>
      <c r="E7" s="43" t="s">
        <v>2</v>
      </c>
    </row>
    <row r="8" spans="1:6" x14ac:dyDescent="0.25">
      <c r="A8" s="18"/>
      <c r="B8" s="19" t="s">
        <v>37</v>
      </c>
      <c r="C8" s="21">
        <v>2</v>
      </c>
      <c r="D8" s="20">
        <f>'2018-19 funding model v 3.1'!D8</f>
        <v>1</v>
      </c>
      <c r="E8" s="22">
        <f>D8*C8*660</f>
        <v>1320</v>
      </c>
      <c r="F8" s="14">
        <f>IF(D8="Yes",C8,0)</f>
        <v>0</v>
      </c>
    </row>
    <row r="9" spans="1:6" x14ac:dyDescent="0.25">
      <c r="A9" s="18"/>
      <c r="B9" s="19" t="s">
        <v>38</v>
      </c>
      <c r="C9" s="21">
        <v>3</v>
      </c>
      <c r="D9" s="20">
        <f>'2018-19 funding model v 3.1'!D9</f>
        <v>0</v>
      </c>
      <c r="E9" s="22">
        <f>D9*C9*660</f>
        <v>0</v>
      </c>
      <c r="F9" s="14"/>
    </row>
    <row r="10" spans="1:6" x14ac:dyDescent="0.25">
      <c r="A10" s="18"/>
      <c r="B10" s="19" t="s">
        <v>39</v>
      </c>
      <c r="C10" s="21">
        <v>4</v>
      </c>
      <c r="D10" s="20">
        <f>'2018-19 funding model v 3.1'!D10</f>
        <v>1</v>
      </c>
      <c r="E10" s="22">
        <f>D10*C10*660</f>
        <v>2640</v>
      </c>
      <c r="F10" s="14">
        <f>IF(D10="Yes",C10,0)</f>
        <v>0</v>
      </c>
    </row>
    <row r="11" spans="1:6" x14ac:dyDescent="0.25">
      <c r="A11" s="18"/>
      <c r="B11" s="19" t="s">
        <v>40</v>
      </c>
      <c r="C11" s="21">
        <v>3</v>
      </c>
      <c r="D11" s="20">
        <f>'2018-19 funding model v 3.1'!D11</f>
        <v>0</v>
      </c>
      <c r="E11" s="22">
        <f>D11*C11*660</f>
        <v>0</v>
      </c>
      <c r="F11" s="14">
        <f>IF(D11="Yes",C11,0)</f>
        <v>0</v>
      </c>
    </row>
    <row r="12" spans="1:6" x14ac:dyDescent="0.25">
      <c r="A12" s="18"/>
      <c r="B12" s="25" t="s">
        <v>27</v>
      </c>
      <c r="C12" s="40" t="s">
        <v>1</v>
      </c>
      <c r="D12" s="42" t="s">
        <v>3</v>
      </c>
      <c r="E12" s="26"/>
    </row>
    <row r="13" spans="1:6" x14ac:dyDescent="0.25">
      <c r="A13" s="18"/>
      <c r="B13" s="19" t="s">
        <v>0</v>
      </c>
      <c r="C13" s="21">
        <v>2</v>
      </c>
      <c r="D13" s="20" t="str">
        <f>'2018-19 funding model v 3.1'!D13</f>
        <v>Yes</v>
      </c>
      <c r="E13" s="22">
        <f>IF(D13="Yes",C13*660,0)</f>
        <v>1320</v>
      </c>
      <c r="F13" s="14">
        <f>IF(D13="Yes",C13,0)</f>
        <v>2</v>
      </c>
    </row>
    <row r="14" spans="1:6" x14ac:dyDescent="0.25">
      <c r="A14" s="18"/>
      <c r="B14" s="19" t="s">
        <v>14</v>
      </c>
      <c r="C14" s="21">
        <v>1</v>
      </c>
      <c r="D14" s="20" t="str">
        <f>'2018-19 funding model v 3.1'!D14</f>
        <v>No</v>
      </c>
      <c r="E14" s="22">
        <f>IF(D14="Yes",C14*660,0)</f>
        <v>0</v>
      </c>
      <c r="F14" s="14">
        <f>IF(D14="Yes",C14,0)</f>
        <v>0</v>
      </c>
    </row>
    <row r="15" spans="1:6" x14ac:dyDescent="0.25">
      <c r="A15" s="18"/>
      <c r="B15" s="19" t="s">
        <v>15</v>
      </c>
      <c r="C15" s="21">
        <v>1.5</v>
      </c>
      <c r="D15" s="20" t="str">
        <f>'2018-19 funding model v 3.1'!D15</f>
        <v>No</v>
      </c>
      <c r="E15" s="22">
        <f>IF(D15="Yes",C15*660,0)</f>
        <v>0</v>
      </c>
      <c r="F15" s="14">
        <f>IF(D15="Yes",C15,0)</f>
        <v>0</v>
      </c>
    </row>
    <row r="16" spans="1:6" x14ac:dyDescent="0.25">
      <c r="A16" s="18"/>
      <c r="B16" s="38" t="s">
        <v>20</v>
      </c>
      <c r="C16" s="64">
        <v>1</v>
      </c>
      <c r="D16" s="20" t="str">
        <f>'2018-19 funding model v 3.1'!D16</f>
        <v>No</v>
      </c>
      <c r="E16" s="22">
        <f>IF(D16="Yes",C16*660,0)</f>
        <v>0</v>
      </c>
      <c r="F16" s="14">
        <f>IF(D16="Yes",C16,0)</f>
        <v>0</v>
      </c>
    </row>
    <row r="17" spans="1:6" x14ac:dyDescent="0.25">
      <c r="A17" s="18"/>
      <c r="B17" s="63" t="s">
        <v>36</v>
      </c>
      <c r="C17" s="45">
        <f>SUM(F13:F16)+(D11*C11)+(D10*C10)+(D9*C9)+(D8*C8)</f>
        <v>8</v>
      </c>
      <c r="D17" s="21"/>
      <c r="E17" s="22"/>
    </row>
    <row r="18" spans="1:6" x14ac:dyDescent="0.25">
      <c r="A18" s="18"/>
      <c r="B18" s="62" t="s">
        <v>64</v>
      </c>
      <c r="C18" s="45"/>
      <c r="D18" s="21"/>
      <c r="E18" s="22"/>
    </row>
    <row r="19" spans="1:6" x14ac:dyDescent="0.25">
      <c r="A19" s="18"/>
      <c r="B19" s="19" t="s">
        <v>9</v>
      </c>
      <c r="C19" s="28" t="s">
        <v>6</v>
      </c>
      <c r="D19" s="12" t="s">
        <v>4</v>
      </c>
      <c r="E19" s="22">
        <f>IF(D19="Yes",C17*167,0)</f>
        <v>1336</v>
      </c>
    </row>
    <row r="20" spans="1:6" x14ac:dyDescent="0.25">
      <c r="A20" s="18"/>
      <c r="B20" s="19" t="s">
        <v>8</v>
      </c>
      <c r="C20" s="28" t="s">
        <v>6</v>
      </c>
      <c r="D20" s="13" t="s">
        <v>5</v>
      </c>
      <c r="E20" s="22">
        <f>IF(D20="Yes",C17*1.5*167,0)</f>
        <v>0</v>
      </c>
    </row>
    <row r="21" spans="1:6" x14ac:dyDescent="0.25">
      <c r="A21" s="18"/>
      <c r="B21" s="23" t="s">
        <v>7</v>
      </c>
      <c r="C21" s="21"/>
      <c r="D21" s="21"/>
      <c r="E21" s="24">
        <f>SUM(E8:E20)</f>
        <v>6616</v>
      </c>
    </row>
    <row r="22" spans="1:6" x14ac:dyDescent="0.25">
      <c r="A22" s="18"/>
      <c r="B22" s="62" t="s">
        <v>67</v>
      </c>
      <c r="C22" s="21"/>
      <c r="D22" s="21"/>
      <c r="E22" s="24"/>
    </row>
    <row r="23" spans="1:6" x14ac:dyDescent="0.25">
      <c r="A23" s="41" t="s">
        <v>23</v>
      </c>
      <c r="B23" s="23"/>
      <c r="C23" s="42" t="s">
        <v>24</v>
      </c>
      <c r="D23" s="42" t="s">
        <v>61</v>
      </c>
      <c r="E23" s="24"/>
    </row>
    <row r="24" spans="1:6" x14ac:dyDescent="0.25">
      <c r="A24" s="27" t="str">
        <f>'2018-19 funding model v 3.1'!A24</f>
        <v>Reg. Credit</v>
      </c>
      <c r="B24" s="19" t="s">
        <v>18</v>
      </c>
      <c r="C24" s="21">
        <f>'2018-19 funding model v 3.1'!C24</f>
        <v>2</v>
      </c>
      <c r="D24" s="21">
        <f>IF(A24="Reg. Credit",3387,4959)</f>
        <v>3387</v>
      </c>
      <c r="E24" s="22">
        <f>C24*D24</f>
        <v>6774</v>
      </c>
    </row>
    <row r="25" spans="1:6" ht="30" customHeight="1" x14ac:dyDescent="0.25">
      <c r="A25" s="29"/>
      <c r="B25" s="30" t="s">
        <v>11</v>
      </c>
      <c r="C25" s="31"/>
      <c r="D25" s="31"/>
      <c r="E25" s="32">
        <f>E6+E21+E24</f>
        <v>13390</v>
      </c>
    </row>
    <row r="26" spans="1:6" ht="23.25" x14ac:dyDescent="0.35">
      <c r="A26" s="33"/>
      <c r="B26" s="34" t="s">
        <v>13</v>
      </c>
      <c r="C26" s="35">
        <f>'2018-19 funding model v 3.1'!C26</f>
        <v>2</v>
      </c>
      <c r="D26" s="46" t="s">
        <v>12</v>
      </c>
      <c r="E26" s="36">
        <f>E25/C26</f>
        <v>6695</v>
      </c>
      <c r="F26" s="7"/>
    </row>
    <row r="27" spans="1:6" x14ac:dyDescent="0.25">
      <c r="A27" t="s">
        <v>21</v>
      </c>
    </row>
    <row r="28" spans="1:6" x14ac:dyDescent="0.25">
      <c r="B28" s="1"/>
      <c r="C28" s="1"/>
      <c r="D28" s="1"/>
      <c r="E28" s="1"/>
    </row>
    <row r="29" spans="1:6" x14ac:dyDescent="0.25">
      <c r="A29" t="s">
        <v>46</v>
      </c>
      <c r="C29" s="2"/>
      <c r="D29" s="2"/>
      <c r="E29" s="2"/>
    </row>
    <row r="30" spans="1:6" x14ac:dyDescent="0.25">
      <c r="A30" t="s">
        <v>45</v>
      </c>
      <c r="C30" s="3"/>
      <c r="D30" s="2"/>
      <c r="E30" s="2"/>
    </row>
    <row r="31" spans="1:6" x14ac:dyDescent="0.25">
      <c r="A31" t="s">
        <v>41</v>
      </c>
      <c r="C31" s="3"/>
      <c r="D31" s="2"/>
      <c r="E31" s="2"/>
    </row>
    <row r="32" spans="1:6" x14ac:dyDescent="0.25">
      <c r="C32" s="2"/>
      <c r="D32" s="2"/>
      <c r="E32" s="2"/>
    </row>
    <row r="33" spans="3:5" x14ac:dyDescent="0.25">
      <c r="C33" s="2"/>
      <c r="D33" s="2"/>
      <c r="E33" s="2"/>
    </row>
    <row r="34" spans="3:5" x14ac:dyDescent="0.25">
      <c r="C34" s="2"/>
      <c r="D34" s="2"/>
      <c r="E34" s="2"/>
    </row>
    <row r="35" spans="3:5" x14ac:dyDescent="0.25">
      <c r="C35" s="2"/>
      <c r="D35" s="2"/>
      <c r="E35" s="2"/>
    </row>
    <row r="36" spans="3:5" x14ac:dyDescent="0.25">
      <c r="C36" s="2"/>
      <c r="D36" s="2"/>
      <c r="E36" s="2"/>
    </row>
    <row r="37" spans="3:5" x14ac:dyDescent="0.25">
      <c r="C37" s="2"/>
      <c r="D37" s="2"/>
      <c r="E37" s="2"/>
    </row>
    <row r="38" spans="3:5" x14ac:dyDescent="0.25">
      <c r="C38" s="2"/>
      <c r="D38" s="2"/>
      <c r="E38" s="2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'Lookup tables'!$A$22:$A$24</xm:f>
          </x14:formula1>
          <xm:sqref>A2</xm:sqref>
        </x14:dataValidation>
        <x14:dataValidation type="list" allowBlank="1" showInputMessage="1" showErrorMessage="1">
          <x14:formula1>
            <xm:f>'Lookup tables'!$A$4:$A$13</xm:f>
          </x14:formula1>
          <xm:sqref>D8:D11</xm:sqref>
        </x14:dataValidation>
        <x14:dataValidation type="list" allowBlank="1" showInputMessage="1" showErrorMessage="1">
          <x14:formula1>
            <xm:f>'Lookup tables'!$A$16:$A$19</xm:f>
          </x14:formula1>
          <xm:sqref>A24</xm:sqref>
        </x14:dataValidation>
        <x14:dataValidation type="list" allowBlank="1" showInputMessage="1" showErrorMessage="1">
          <x14:formula1>
            <xm:f>'Lookup tables'!$A$1:$A$2</xm:f>
          </x14:formula1>
          <xm:sqref>D29:D37 D3:D5 D13:D20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40"/>
  <sheetViews>
    <sheetView topLeftCell="A28" zoomScale="177" zoomScaleNormal="177" workbookViewId="0">
      <selection activeCell="A27" sqref="A27:XFD27"/>
    </sheetView>
  </sheetViews>
  <sheetFormatPr defaultColWidth="8.85546875" defaultRowHeight="15" x14ac:dyDescent="0.25"/>
  <cols>
    <col min="1" max="1" width="13.42578125" customWidth="1"/>
    <col min="2" max="2" width="50.28515625" bestFit="1" customWidth="1"/>
    <col min="3" max="3" width="13" bestFit="1" customWidth="1"/>
    <col min="4" max="4" width="15.140625" bestFit="1" customWidth="1"/>
    <col min="5" max="5" width="17.140625" bestFit="1" customWidth="1"/>
  </cols>
  <sheetData>
    <row r="1" spans="1:6" x14ac:dyDescent="0.25">
      <c r="A1" s="37" t="s">
        <v>28</v>
      </c>
      <c r="B1" s="15" t="s">
        <v>65</v>
      </c>
      <c r="C1" s="16"/>
      <c r="D1" s="39"/>
      <c r="E1" s="17"/>
    </row>
    <row r="2" spans="1:6" x14ac:dyDescent="0.25">
      <c r="A2" s="18" t="s">
        <v>31</v>
      </c>
      <c r="B2" s="25" t="s">
        <v>33</v>
      </c>
      <c r="C2" s="40" t="s">
        <v>1</v>
      </c>
      <c r="D2" s="42" t="s">
        <v>68</v>
      </c>
      <c r="E2" s="43" t="s">
        <v>2</v>
      </c>
    </row>
    <row r="3" spans="1:6" x14ac:dyDescent="0.25">
      <c r="A3" s="18"/>
      <c r="B3" s="19" t="s">
        <v>9</v>
      </c>
      <c r="C3" s="20">
        <v>1</v>
      </c>
      <c r="D3" s="20" t="str">
        <f>'2018-19 funding model v 3.1'!D3</f>
        <v>No</v>
      </c>
      <c r="E3" s="22">
        <f>IF(D3="Yes",919,0)</f>
        <v>0</v>
      </c>
    </row>
    <row r="4" spans="1:6" x14ac:dyDescent="0.25">
      <c r="A4" s="18"/>
      <c r="B4" s="19" t="s">
        <v>8</v>
      </c>
      <c r="C4" s="20">
        <v>1</v>
      </c>
      <c r="D4" s="20" t="str">
        <f>'2018-19 funding model v 3.1'!D4</f>
        <v>No</v>
      </c>
      <c r="E4" s="22">
        <f>IF(D4="Yes",919,0)</f>
        <v>0</v>
      </c>
    </row>
    <row r="5" spans="1:6" x14ac:dyDescent="0.25">
      <c r="A5" s="18"/>
      <c r="B5" s="19" t="s">
        <v>69</v>
      </c>
      <c r="C5" s="35">
        <v>1</v>
      </c>
      <c r="D5" s="20" t="str">
        <f>'2018-19 funding model v 3.1'!D5</f>
        <v>No</v>
      </c>
      <c r="E5" s="22">
        <f>IF(D5="Yes",919,0)</f>
        <v>0</v>
      </c>
    </row>
    <row r="6" spans="1:6" x14ac:dyDescent="0.25">
      <c r="A6" s="18"/>
      <c r="B6" s="23" t="s">
        <v>10</v>
      </c>
      <c r="C6" s="21">
        <f>COUNTIF(D3:D5,"Yes")</f>
        <v>0</v>
      </c>
      <c r="D6" s="21"/>
      <c r="E6" s="24">
        <f>SUM(E3:E5)</f>
        <v>0</v>
      </c>
    </row>
    <row r="7" spans="1:6" x14ac:dyDescent="0.25">
      <c r="A7" s="18"/>
      <c r="B7" s="23"/>
      <c r="C7" s="21"/>
      <c r="D7" s="21"/>
      <c r="E7" s="24"/>
    </row>
    <row r="8" spans="1:6" x14ac:dyDescent="0.25">
      <c r="A8" s="18"/>
      <c r="B8" s="25" t="s">
        <v>26</v>
      </c>
      <c r="C8" s="40" t="s">
        <v>1</v>
      </c>
      <c r="D8" s="42" t="s">
        <v>22</v>
      </c>
      <c r="E8" s="43" t="s">
        <v>2</v>
      </c>
    </row>
    <row r="9" spans="1:6" x14ac:dyDescent="0.25">
      <c r="A9" s="18"/>
      <c r="B9" s="19" t="s">
        <v>37</v>
      </c>
      <c r="C9" s="21">
        <v>2</v>
      </c>
      <c r="D9" s="20">
        <f>'2018-19 funding model v 3.1'!D8</f>
        <v>1</v>
      </c>
      <c r="E9" s="22">
        <f>D9*C9*880</f>
        <v>1760</v>
      </c>
      <c r="F9" s="14">
        <f>IF(D9="Yes",C9,0)</f>
        <v>0</v>
      </c>
    </row>
    <row r="10" spans="1:6" x14ac:dyDescent="0.25">
      <c r="A10" s="18"/>
      <c r="B10" s="19" t="s">
        <v>38</v>
      </c>
      <c r="C10" s="21">
        <v>3</v>
      </c>
      <c r="D10" s="20">
        <f>'2018-19 funding model v 3.1'!D9</f>
        <v>0</v>
      </c>
      <c r="E10" s="22">
        <f>D10*C10*880</f>
        <v>0</v>
      </c>
      <c r="F10" s="14"/>
    </row>
    <row r="11" spans="1:6" x14ac:dyDescent="0.25">
      <c r="A11" s="18"/>
      <c r="B11" s="19" t="s">
        <v>39</v>
      </c>
      <c r="C11" s="21">
        <v>4</v>
      </c>
      <c r="D11" s="20">
        <f>'2018-19 funding model v 3.1'!D10</f>
        <v>1</v>
      </c>
      <c r="E11" s="22">
        <f>D11*C11*880</f>
        <v>3520</v>
      </c>
      <c r="F11" s="14">
        <f>IF(D11="Yes",C11,0)</f>
        <v>0</v>
      </c>
    </row>
    <row r="12" spans="1:6" x14ac:dyDescent="0.25">
      <c r="A12" s="18"/>
      <c r="B12" s="19" t="s">
        <v>40</v>
      </c>
      <c r="C12" s="21">
        <v>3</v>
      </c>
      <c r="D12" s="20">
        <f>'2018-19 funding model v 3.1'!D11</f>
        <v>0</v>
      </c>
      <c r="E12" s="22">
        <f>D12*C12*880</f>
        <v>0</v>
      </c>
      <c r="F12" s="14">
        <f>IF(D12="Yes",C12,0)</f>
        <v>0</v>
      </c>
    </row>
    <row r="13" spans="1:6" x14ac:dyDescent="0.25">
      <c r="A13" s="18"/>
      <c r="B13" s="19"/>
      <c r="C13" s="21"/>
      <c r="D13" s="40"/>
      <c r="E13" s="22"/>
      <c r="F13" s="14"/>
    </row>
    <row r="14" spans="1:6" x14ac:dyDescent="0.25">
      <c r="A14" s="18"/>
      <c r="B14" s="25" t="s">
        <v>27</v>
      </c>
      <c r="C14" s="40" t="s">
        <v>1</v>
      </c>
      <c r="D14" s="42" t="s">
        <v>3</v>
      </c>
      <c r="E14" s="26"/>
    </row>
    <row r="15" spans="1:6" x14ac:dyDescent="0.25">
      <c r="A15" s="18"/>
      <c r="B15" s="19" t="s">
        <v>0</v>
      </c>
      <c r="C15" s="21">
        <v>2</v>
      </c>
      <c r="D15" s="20" t="str">
        <f>'2018-19 funding model v 3.1'!D13</f>
        <v>Yes</v>
      </c>
      <c r="E15" s="22">
        <f>IF(D15="Yes",C15*880,0)</f>
        <v>1760</v>
      </c>
      <c r="F15" s="14">
        <f>IF(D15="Yes",C15,0)</f>
        <v>2</v>
      </c>
    </row>
    <row r="16" spans="1:6" x14ac:dyDescent="0.25">
      <c r="A16" s="18"/>
      <c r="B16" s="19" t="s">
        <v>14</v>
      </c>
      <c r="C16" s="21">
        <v>1</v>
      </c>
      <c r="D16" s="20" t="str">
        <f>'2018-19 funding model v 3.1'!D14</f>
        <v>No</v>
      </c>
      <c r="E16" s="22">
        <f>IF(D16="Yes",C16*880,0)</f>
        <v>0</v>
      </c>
      <c r="F16" s="14">
        <f>IF(D16="Yes",C16,0)</f>
        <v>0</v>
      </c>
    </row>
    <row r="17" spans="1:6" x14ac:dyDescent="0.25">
      <c r="A17" s="18"/>
      <c r="B17" s="19" t="s">
        <v>15</v>
      </c>
      <c r="C17" s="21">
        <v>1.5</v>
      </c>
      <c r="D17" s="20" t="str">
        <f>'2018-19 funding model v 3.1'!D15</f>
        <v>No</v>
      </c>
      <c r="E17" s="22">
        <f>IF(D17="Yes",C17*880,0)</f>
        <v>0</v>
      </c>
      <c r="F17" s="14">
        <f>IF(D17="Yes",C17,0)</f>
        <v>0</v>
      </c>
    </row>
    <row r="18" spans="1:6" x14ac:dyDescent="0.25">
      <c r="A18" s="18"/>
      <c r="B18" s="38" t="s">
        <v>20</v>
      </c>
      <c r="C18" s="64">
        <v>1</v>
      </c>
      <c r="D18" s="20" t="str">
        <f>'2018-19 funding model v 3.1'!D16</f>
        <v>No</v>
      </c>
      <c r="E18" s="22">
        <f>IF(D18="Yes",C18*880,0)</f>
        <v>0</v>
      </c>
      <c r="F18" s="14">
        <f>IF(D18="Yes",C18,0)</f>
        <v>0</v>
      </c>
    </row>
    <row r="19" spans="1:6" x14ac:dyDescent="0.25">
      <c r="A19" s="18"/>
      <c r="B19" s="63" t="s">
        <v>36</v>
      </c>
      <c r="C19" s="45">
        <f>SUM(F15:F18)+(D12*C12)+(D11*C11)+(D10*C10)+(D9*C9)</f>
        <v>8</v>
      </c>
      <c r="D19" s="21"/>
      <c r="E19" s="22"/>
    </row>
    <row r="20" spans="1:6" x14ac:dyDescent="0.25">
      <c r="A20" s="18"/>
      <c r="B20" s="62" t="s">
        <v>64</v>
      </c>
      <c r="C20" s="45"/>
      <c r="D20" s="21"/>
      <c r="E20" s="22"/>
    </row>
    <row r="21" spans="1:6" x14ac:dyDescent="0.25">
      <c r="A21" s="18"/>
      <c r="B21" s="19" t="s">
        <v>9</v>
      </c>
      <c r="C21" s="28" t="s">
        <v>6</v>
      </c>
      <c r="D21" s="12" t="str">
        <f>D3</f>
        <v>No</v>
      </c>
      <c r="E21" s="22">
        <f>IF(D21="Yes",C19*222,0)</f>
        <v>0</v>
      </c>
    </row>
    <row r="22" spans="1:6" x14ac:dyDescent="0.25">
      <c r="A22" s="18"/>
      <c r="B22" s="19" t="s">
        <v>8</v>
      </c>
      <c r="C22" s="28" t="s">
        <v>6</v>
      </c>
      <c r="D22" s="13" t="str">
        <f>D4</f>
        <v>No</v>
      </c>
      <c r="E22" s="22">
        <f>IF(D22="Yes",C19*1.5*222,0)</f>
        <v>0</v>
      </c>
    </row>
    <row r="23" spans="1:6" x14ac:dyDescent="0.25">
      <c r="A23" s="18"/>
      <c r="B23" s="23" t="s">
        <v>7</v>
      </c>
      <c r="C23" s="21"/>
      <c r="D23" s="21"/>
      <c r="E23" s="24">
        <f>SUM(E9:E22)</f>
        <v>7040</v>
      </c>
    </row>
    <row r="24" spans="1:6" x14ac:dyDescent="0.25">
      <c r="A24" s="18"/>
      <c r="B24" s="62" t="s">
        <v>67</v>
      </c>
      <c r="C24" s="21"/>
      <c r="D24" s="21"/>
      <c r="E24" s="24"/>
    </row>
    <row r="25" spans="1:6" x14ac:dyDescent="0.25">
      <c r="A25" s="41" t="s">
        <v>23</v>
      </c>
      <c r="B25" s="23"/>
      <c r="C25" s="42" t="s">
        <v>24</v>
      </c>
      <c r="D25" s="57" t="s">
        <v>61</v>
      </c>
      <c r="E25" s="24"/>
    </row>
    <row r="26" spans="1:6" x14ac:dyDescent="0.25">
      <c r="A26" s="27" t="str">
        <f>'2018-19 funding model v 3.1'!A24</f>
        <v>Reg. Credit</v>
      </c>
      <c r="B26" s="19" t="s">
        <v>18</v>
      </c>
      <c r="C26" s="21">
        <f>'2018-19 funding model v 3.1'!C24</f>
        <v>2</v>
      </c>
      <c r="D26" s="21">
        <f>IF(A26="Reg. Credit",3046,4460)</f>
        <v>3046</v>
      </c>
      <c r="E26" s="22">
        <f>C26*D26</f>
        <v>6092</v>
      </c>
    </row>
    <row r="27" spans="1:6" ht="32.1" customHeight="1" x14ac:dyDescent="0.25">
      <c r="A27" s="29"/>
      <c r="B27" s="30" t="s">
        <v>11</v>
      </c>
      <c r="C27" s="31"/>
      <c r="D27" s="31"/>
      <c r="E27" s="32">
        <f>E6+E23+E26</f>
        <v>13132</v>
      </c>
    </row>
    <row r="28" spans="1:6" ht="23.25" x14ac:dyDescent="0.35">
      <c r="A28" s="33"/>
      <c r="B28" s="34" t="s">
        <v>13</v>
      </c>
      <c r="C28" s="35">
        <f>'2018-19 funding model v 3.1'!C26</f>
        <v>2</v>
      </c>
      <c r="D28" s="46" t="s">
        <v>12</v>
      </c>
      <c r="E28" s="47">
        <f>E27/C28</f>
        <v>6566</v>
      </c>
      <c r="F28" s="7"/>
    </row>
    <row r="29" spans="1:6" x14ac:dyDescent="0.25">
      <c r="A29" t="s">
        <v>21</v>
      </c>
    </row>
    <row r="30" spans="1:6" x14ac:dyDescent="0.25">
      <c r="B30" s="1"/>
      <c r="C30" s="1"/>
      <c r="D30" s="1"/>
      <c r="E30" s="1"/>
    </row>
    <row r="31" spans="1:6" x14ac:dyDescent="0.25">
      <c r="A31" t="s">
        <v>46</v>
      </c>
      <c r="C31" s="2"/>
      <c r="D31" s="2"/>
      <c r="E31" s="2"/>
    </row>
    <row r="32" spans="1:6" x14ac:dyDescent="0.25">
      <c r="A32" t="s">
        <v>45</v>
      </c>
      <c r="C32" s="3"/>
      <c r="D32" s="2"/>
      <c r="E32" s="2"/>
    </row>
    <row r="33" spans="1:5" x14ac:dyDescent="0.25">
      <c r="A33" t="s">
        <v>41</v>
      </c>
      <c r="C33" s="3"/>
      <c r="D33" s="2"/>
      <c r="E33" s="2"/>
    </row>
    <row r="34" spans="1:5" x14ac:dyDescent="0.25">
      <c r="C34" s="2"/>
      <c r="D34" s="2"/>
      <c r="E34" s="2"/>
    </row>
    <row r="35" spans="1:5" x14ac:dyDescent="0.25">
      <c r="C35" s="2"/>
      <c r="D35" s="2"/>
      <c r="E35" s="2"/>
    </row>
    <row r="36" spans="1:5" x14ac:dyDescent="0.25">
      <c r="C36" s="2"/>
      <c r="D36" s="2"/>
      <c r="E36" s="2"/>
    </row>
    <row r="37" spans="1:5" x14ac:dyDescent="0.25">
      <c r="C37" s="2"/>
      <c r="D37" s="2"/>
      <c r="E37" s="2"/>
    </row>
    <row r="38" spans="1:5" x14ac:dyDescent="0.25">
      <c r="C38" s="2"/>
      <c r="D38" s="2"/>
      <c r="E38" s="2"/>
    </row>
    <row r="39" spans="1:5" x14ac:dyDescent="0.25">
      <c r="C39" s="2"/>
      <c r="D39" s="2"/>
      <c r="E39" s="2"/>
    </row>
    <row r="40" spans="1:5" x14ac:dyDescent="0.25">
      <c r="C40" s="2"/>
      <c r="D40" s="2"/>
      <c r="E40" s="2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'Lookup tables'!$A$1:$A$2</xm:f>
          </x14:formula1>
          <xm:sqref>D31:D39 D3:D5 D15:D22</xm:sqref>
        </x14:dataValidation>
        <x14:dataValidation type="list" allowBlank="1" showInputMessage="1" showErrorMessage="1">
          <x14:formula1>
            <xm:f>'Lookup tables'!$A$16:$A$19</xm:f>
          </x14:formula1>
          <xm:sqref>A26</xm:sqref>
        </x14:dataValidation>
        <x14:dataValidation type="list" allowBlank="1" showInputMessage="1" showErrorMessage="1">
          <x14:formula1>
            <xm:f>'Lookup tables'!$A$4:$A$13</xm:f>
          </x14:formula1>
          <xm:sqref>D9:D13</xm:sqref>
        </x14:dataValidation>
        <x14:dataValidation type="list" allowBlank="1" showInputMessage="1" showErrorMessage="1">
          <x14:formula1>
            <xm:f>'Lookup tables'!$A$22:$A$24</xm:f>
          </x14:formula1>
          <xm:sqref>A2:A3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G30" sqref="G30"/>
    </sheetView>
  </sheetViews>
  <sheetFormatPr defaultColWidth="8.85546875" defaultRowHeight="15" x14ac:dyDescent="0.25"/>
  <cols>
    <col min="1" max="1" width="10.85546875" bestFit="1" customWidth="1"/>
    <col min="2" max="2" width="35.7109375" bestFit="1" customWidth="1"/>
    <col min="3" max="3" width="9.85546875" customWidth="1"/>
  </cols>
  <sheetData>
    <row r="1" spans="1:3" x14ac:dyDescent="0.25">
      <c r="A1" t="s">
        <v>48</v>
      </c>
      <c r="B1" t="s">
        <v>47</v>
      </c>
      <c r="C1" t="s">
        <v>49</v>
      </c>
    </row>
    <row r="2" spans="1:3" x14ac:dyDescent="0.25">
      <c r="A2" t="s">
        <v>29</v>
      </c>
      <c r="B2" s="48">
        <f>'2018-19 funding model v 3.1'!E26</f>
        <v>5487</v>
      </c>
      <c r="C2" s="48">
        <f>B2-B2</f>
        <v>0</v>
      </c>
    </row>
    <row r="3" spans="1:3" x14ac:dyDescent="0.25">
      <c r="A3" t="s">
        <v>30</v>
      </c>
      <c r="B3" s="48">
        <f>'2019-20 funding model v 3.1'!E26</f>
        <v>6695</v>
      </c>
      <c r="C3" s="48">
        <f>B3-B2</f>
        <v>1208</v>
      </c>
    </row>
    <row r="4" spans="1:3" x14ac:dyDescent="0.25">
      <c r="A4" t="s">
        <v>31</v>
      </c>
      <c r="B4" s="48">
        <f>'2020-21 funding model v 3.1'!E28</f>
        <v>6566</v>
      </c>
      <c r="C4" s="48">
        <f>B4-B2</f>
        <v>1079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109" workbookViewId="0">
      <selection activeCell="A7" sqref="A7"/>
    </sheetView>
  </sheetViews>
  <sheetFormatPr defaultColWidth="8.85546875" defaultRowHeight="15" x14ac:dyDescent="0.25"/>
  <cols>
    <col min="1" max="1" width="89.140625" style="49" customWidth="1"/>
    <col min="2" max="2" width="16.140625" bestFit="1" customWidth="1"/>
    <col min="3" max="3" width="15.85546875" customWidth="1"/>
    <col min="4" max="4" width="17.140625" bestFit="1" customWidth="1"/>
  </cols>
  <sheetData>
    <row r="1" spans="1:4" ht="18.75" x14ac:dyDescent="0.3">
      <c r="A1" s="54" t="s">
        <v>54</v>
      </c>
    </row>
    <row r="4" spans="1:4" x14ac:dyDescent="0.25">
      <c r="A4" s="50" t="s">
        <v>51</v>
      </c>
      <c r="B4" s="1"/>
      <c r="C4" s="1"/>
      <c r="D4" s="1"/>
    </row>
    <row r="5" spans="1:4" ht="45" x14ac:dyDescent="0.25">
      <c r="A5" s="49" t="s">
        <v>52</v>
      </c>
      <c r="B5" s="6"/>
      <c r="C5" s="2"/>
      <c r="D5" s="4"/>
    </row>
    <row r="6" spans="1:4" x14ac:dyDescent="0.25">
      <c r="B6" s="6"/>
      <c r="C6" s="2"/>
      <c r="D6" s="4"/>
    </row>
    <row r="7" spans="1:4" x14ac:dyDescent="0.25">
      <c r="A7" s="51" t="s">
        <v>50</v>
      </c>
      <c r="B7" s="2"/>
      <c r="C7" s="2"/>
      <c r="D7" s="5"/>
    </row>
    <row r="8" spans="1:4" ht="45" x14ac:dyDescent="0.25">
      <c r="A8" s="49" t="s">
        <v>71</v>
      </c>
      <c r="B8" s="1"/>
      <c r="C8" s="1"/>
      <c r="D8" s="1"/>
    </row>
    <row r="9" spans="1:4" x14ac:dyDescent="0.25">
      <c r="B9" s="2"/>
      <c r="C9" s="2"/>
      <c r="D9" s="4"/>
    </row>
    <row r="10" spans="1:4" x14ac:dyDescent="0.25">
      <c r="A10" s="51" t="s">
        <v>53</v>
      </c>
      <c r="B10" s="2"/>
      <c r="C10" s="2"/>
      <c r="D10" s="4"/>
    </row>
    <row r="11" spans="1:4" ht="45" x14ac:dyDescent="0.25">
      <c r="A11" s="49" t="s">
        <v>70</v>
      </c>
      <c r="B11" s="2"/>
      <c r="C11" s="2"/>
      <c r="D11" s="4"/>
    </row>
    <row r="12" spans="1:4" x14ac:dyDescent="0.25">
      <c r="B12" s="2"/>
      <c r="C12" s="2"/>
      <c r="D12" s="4"/>
    </row>
    <row r="13" spans="1:4" x14ac:dyDescent="0.25">
      <c r="A13" s="50" t="s">
        <v>55</v>
      </c>
      <c r="B13" s="2"/>
      <c r="C13" s="2"/>
      <c r="D13" s="4"/>
    </row>
    <row r="14" spans="1:4" ht="60" x14ac:dyDescent="0.25">
      <c r="A14" s="49" t="s">
        <v>56</v>
      </c>
      <c r="B14" s="3"/>
      <c r="C14" s="2"/>
      <c r="D14" s="4"/>
    </row>
    <row r="15" spans="1:4" x14ac:dyDescent="0.25">
      <c r="B15" s="3"/>
      <c r="C15" s="2"/>
      <c r="D15" s="4"/>
    </row>
    <row r="16" spans="1:4" x14ac:dyDescent="0.25">
      <c r="A16" s="51" t="s">
        <v>57</v>
      </c>
      <c r="B16" s="2"/>
      <c r="C16" s="2"/>
      <c r="D16" s="5"/>
    </row>
    <row r="17" spans="1:5" ht="60" x14ac:dyDescent="0.25">
      <c r="A17" s="49" t="s">
        <v>58</v>
      </c>
      <c r="B17" s="2"/>
      <c r="C17" s="2"/>
      <c r="D17" s="5"/>
    </row>
    <row r="18" spans="1:5" x14ac:dyDescent="0.25">
      <c r="B18" s="2"/>
      <c r="C18" s="2"/>
      <c r="D18" s="4"/>
    </row>
    <row r="19" spans="1:5" x14ac:dyDescent="0.25">
      <c r="B19" s="2"/>
      <c r="C19" s="2"/>
      <c r="D19" s="2"/>
    </row>
    <row r="20" spans="1:5" ht="15.75" x14ac:dyDescent="0.25">
      <c r="A20" s="52"/>
      <c r="B20" s="10"/>
      <c r="C20" s="10"/>
      <c r="D20" s="11"/>
    </row>
    <row r="21" spans="1:5" ht="23.25" x14ac:dyDescent="0.35">
      <c r="A21" s="53"/>
      <c r="B21" s="6"/>
      <c r="C21" s="9"/>
      <c r="D21" s="8"/>
      <c r="E21" s="7"/>
    </row>
    <row r="23" spans="1:5" x14ac:dyDescent="0.25">
      <c r="A23" s="50"/>
      <c r="B23" s="1"/>
      <c r="C23" s="1"/>
      <c r="D23" s="1"/>
    </row>
    <row r="24" spans="1:5" x14ac:dyDescent="0.25">
      <c r="B24" s="2"/>
      <c r="C24" s="2"/>
      <c r="D24" s="2"/>
    </row>
    <row r="25" spans="1:5" x14ac:dyDescent="0.25">
      <c r="B25" s="3"/>
      <c r="C25" s="2"/>
      <c r="D25" s="2"/>
    </row>
    <row r="26" spans="1:5" x14ac:dyDescent="0.25">
      <c r="B26" s="3"/>
      <c r="C26" s="2"/>
      <c r="D26" s="2"/>
    </row>
    <row r="27" spans="1:5" x14ac:dyDescent="0.25">
      <c r="B27" s="2"/>
      <c r="C27" s="2"/>
      <c r="D27" s="2"/>
    </row>
    <row r="28" spans="1:5" x14ac:dyDescent="0.25">
      <c r="B28" s="2"/>
      <c r="C28" s="2"/>
      <c r="D28" s="2"/>
    </row>
    <row r="29" spans="1:5" x14ac:dyDescent="0.25">
      <c r="B29" s="2"/>
      <c r="C29" s="2"/>
      <c r="D29" s="2"/>
    </row>
    <row r="30" spans="1:5" x14ac:dyDescent="0.25">
      <c r="B30" s="2"/>
      <c r="C30" s="2"/>
      <c r="D30" s="2"/>
    </row>
    <row r="31" spans="1:5" x14ac:dyDescent="0.25">
      <c r="B31" s="2"/>
      <c r="C31" s="2"/>
      <c r="D31" s="2"/>
    </row>
    <row r="32" spans="1:5" x14ac:dyDescent="0.25">
      <c r="B32" s="2"/>
      <c r="C32" s="2"/>
      <c r="D32" s="2"/>
    </row>
    <row r="33" spans="2:4" x14ac:dyDescent="0.25">
      <c r="B33" s="2"/>
      <c r="C33" s="2"/>
      <c r="D33" s="2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'Lookup tables'!$A$1:$A$2</xm:f>
          </x14:formula1>
          <xm:sqref>C24:C32 C9:C15 C5:C6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ColWidth="8.85546875" defaultRowHeight="15" x14ac:dyDescent="0.25"/>
  <cols>
    <col min="1" max="1" width="7.42578125" customWidth="1"/>
    <col min="2" max="2" width="5.7109375" customWidth="1"/>
    <col min="3" max="3" width="5.140625" customWidth="1"/>
  </cols>
  <sheetData>
    <row r="1" spans="1:1" x14ac:dyDescent="0.25">
      <c r="A1" s="1" t="s">
        <v>72</v>
      </c>
    </row>
    <row r="2" spans="1:1" x14ac:dyDescent="0.25">
      <c r="A2" s="56" t="s">
        <v>60</v>
      </c>
    </row>
    <row r="3" spans="1:1" x14ac:dyDescent="0.25">
      <c r="A3" s="55" t="s">
        <v>59</v>
      </c>
    </row>
  </sheetData>
  <hyperlinks>
    <hyperlink ref="A3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16" sqref="A16"/>
    </sheetView>
  </sheetViews>
  <sheetFormatPr defaultColWidth="8.85546875" defaultRowHeight="15" x14ac:dyDescent="0.25"/>
  <cols>
    <col min="2" max="2" width="11.42578125" bestFit="1" customWidth="1"/>
    <col min="5" max="5" width="12.42578125" bestFit="1" customWidth="1"/>
    <col min="6" max="6" width="6.7109375" bestFit="1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4" spans="1:1" x14ac:dyDescent="0.25">
      <c r="A4">
        <v>0</v>
      </c>
    </row>
    <row r="5" spans="1:1" x14ac:dyDescent="0.25">
      <c r="A5">
        <v>1</v>
      </c>
    </row>
    <row r="6" spans="1:1" x14ac:dyDescent="0.25">
      <c r="A6">
        <v>2</v>
      </c>
    </row>
    <row r="7" spans="1:1" x14ac:dyDescent="0.25">
      <c r="A7">
        <v>3</v>
      </c>
    </row>
    <row r="8" spans="1:1" x14ac:dyDescent="0.25">
      <c r="A8">
        <v>4</v>
      </c>
    </row>
    <row r="9" spans="1:1" x14ac:dyDescent="0.25">
      <c r="A9">
        <v>5</v>
      </c>
    </row>
    <row r="10" spans="1:1" x14ac:dyDescent="0.25">
      <c r="A10">
        <v>6</v>
      </c>
    </row>
    <row r="11" spans="1:1" x14ac:dyDescent="0.25">
      <c r="A11">
        <v>7</v>
      </c>
    </row>
    <row r="12" spans="1:1" x14ac:dyDescent="0.25">
      <c r="A12">
        <v>8</v>
      </c>
    </row>
    <row r="13" spans="1:1" x14ac:dyDescent="0.25">
      <c r="A13">
        <v>9</v>
      </c>
    </row>
    <row r="16" spans="1:1" x14ac:dyDescent="0.25">
      <c r="A16" t="s">
        <v>16</v>
      </c>
    </row>
    <row r="17" spans="1:6" x14ac:dyDescent="0.25">
      <c r="A17" t="s">
        <v>25</v>
      </c>
    </row>
    <row r="18" spans="1:6" x14ac:dyDescent="0.25">
      <c r="A18" t="s">
        <v>17</v>
      </c>
    </row>
    <row r="19" spans="1:6" x14ac:dyDescent="0.25">
      <c r="A19" t="s">
        <v>19</v>
      </c>
    </row>
    <row r="21" spans="1:6" x14ac:dyDescent="0.25">
      <c r="B21" t="s">
        <v>33</v>
      </c>
      <c r="C21" t="s">
        <v>64</v>
      </c>
      <c r="D21" t="s">
        <v>32</v>
      </c>
      <c r="E21" t="s">
        <v>35</v>
      </c>
      <c r="F21" t="s">
        <v>34</v>
      </c>
    </row>
    <row r="22" spans="1:6" x14ac:dyDescent="0.25">
      <c r="A22" t="s">
        <v>29</v>
      </c>
      <c r="B22">
        <v>919</v>
      </c>
      <c r="C22">
        <v>111</v>
      </c>
      <c r="D22">
        <v>3727</v>
      </c>
      <c r="E22">
        <v>5457</v>
      </c>
      <c r="F22">
        <v>440</v>
      </c>
    </row>
    <row r="23" spans="1:6" x14ac:dyDescent="0.25">
      <c r="A23" t="s">
        <v>30</v>
      </c>
      <c r="B23">
        <v>919</v>
      </c>
      <c r="C23">
        <v>167</v>
      </c>
      <c r="D23">
        <v>3387</v>
      </c>
      <c r="E23" s="44">
        <f>(1-((D22-D23)/D22))*E22</f>
        <v>4959.1786960021464</v>
      </c>
      <c r="F23">
        <v>660</v>
      </c>
    </row>
    <row r="24" spans="1:6" x14ac:dyDescent="0.25">
      <c r="A24" t="s">
        <v>31</v>
      </c>
      <c r="B24">
        <v>919</v>
      </c>
      <c r="C24">
        <v>222</v>
      </c>
      <c r="D24">
        <v>3046</v>
      </c>
      <c r="E24" s="44">
        <f>(1-((D23-D24)/D23))*E23</f>
        <v>4459.893211698417</v>
      </c>
      <c r="F24">
        <v>880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8B79814B589547AD99A0EFED1FAA3C" ma:contentTypeVersion="" ma:contentTypeDescription="Create a new document." ma:contentTypeScope="" ma:versionID="73a6f253a87f5eef7725f15468982c1d">
  <xsd:schema xmlns:xsd="http://www.w3.org/2001/XMLSchema" xmlns:xs="http://www.w3.org/2001/XMLSchema" xmlns:p="http://schemas.microsoft.com/office/2006/metadata/properties" xmlns:ns2="39dfce5e-8965-4e8d-9c11-c81ea3ef6acf" xmlns:ns3="454fd486-4e42-4a7f-bc2f-e2145d19cd8b" targetNamespace="http://schemas.microsoft.com/office/2006/metadata/properties" ma:root="true" ma:fieldsID="ea39fddb50d851bf5f7f4a8a820ab400" ns2:_="" ns3:_="">
    <xsd:import namespace="39dfce5e-8965-4e8d-9c11-c81ea3ef6acf"/>
    <xsd:import namespace="454fd486-4e42-4a7f-bc2f-e2145d19cd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fce5e-8965-4e8d-9c11-c81ea3ef6a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fd486-4e42-4a7f-bc2f-e2145d19c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EBBFA-F578-4F02-A78D-AC6D5A1C04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98AF33-5791-411A-AE06-B91B43F54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3044E0-7EA4-4962-8F9F-612D6BD6E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fce5e-8965-4e8d-9c11-c81ea3ef6acf"/>
    <ds:schemaRef ds:uri="454fd486-4e42-4a7f-bc2f-e2145d19c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 funding model v 3.1</vt:lpstr>
      <vt:lpstr>2019-20 funding model v 3.1</vt:lpstr>
      <vt:lpstr>2020-21 funding model v 3.1</vt:lpstr>
      <vt:lpstr>Comparative figure</vt:lpstr>
      <vt:lpstr>Student journeys</vt:lpstr>
      <vt:lpstr>About</vt:lpstr>
      <vt:lpstr>Lookup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Hayward</dc:creator>
  <cp:lastModifiedBy>Catherine Rangel</cp:lastModifiedBy>
  <dcterms:created xsi:type="dcterms:W3CDTF">2018-09-12T03:00:00Z</dcterms:created>
  <dcterms:modified xsi:type="dcterms:W3CDTF">2019-04-10T23:51:08Z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0x010100698B79814B589547AD99A0EFED1FAA3C</vt:lpwstr>
  </property>
</Properties>
</file>